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zageo" sheetId="1" r:id="rId1"/>
  </sheets>
  <definedNames>
    <definedName name="_xlnm.Print_Area" localSheetId="0">'zageo'!$A$1:$E$39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<sst xmlns="http://schemas.openxmlformats.org/spreadsheetml/2006/main" count="65" uniqueCount="62">
  <si>
    <t>Zahnradgeometrie</t>
  </si>
  <si>
    <t>Krissler</t>
  </si>
  <si>
    <t>Innensenkwerkzeug</t>
  </si>
  <si>
    <t>WB 310-35.1/2</t>
  </si>
  <si>
    <t>Rad 1</t>
  </si>
  <si>
    <t>Rad 2</t>
  </si>
  <si>
    <t>Bogen</t>
  </si>
  <si>
    <t>Grad</t>
  </si>
  <si>
    <t>Normalmodul</t>
  </si>
  <si>
    <t>mn</t>
  </si>
  <si>
    <t>alpha n</t>
  </si>
  <si>
    <t>@RADINGRAD(H10); 20</t>
  </si>
  <si>
    <t>Zähnezahl</t>
  </si>
  <si>
    <t>z</t>
  </si>
  <si>
    <t>alpha t</t>
  </si>
  <si>
    <t>@RADINGRAD(H11); 20,6468964870465</t>
  </si>
  <si>
    <t>Achsabstand</t>
  </si>
  <si>
    <t>a</t>
  </si>
  <si>
    <t>alpha wt</t>
  </si>
  <si>
    <t>@RADINGRAD(H12); 28,2717964628708</t>
  </si>
  <si>
    <t>Schrägungswinkel</t>
  </si>
  <si>
    <t>b</t>
  </si>
  <si>
    <t>inv alpha t</t>
  </si>
  <si>
    <t>Radbreite</t>
  </si>
  <si>
    <t>inv alpha wt</t>
  </si>
  <si>
    <t>Werkzeugkopfrundfakt.</t>
  </si>
  <si>
    <t>beta b</t>
  </si>
  <si>
    <t>Werkzeugkopfhöhfakt.</t>
  </si>
  <si>
    <t>Summe Profilverschbfakt</t>
  </si>
  <si>
    <t>x</t>
  </si>
  <si>
    <t>Profilverschiebungsfakt.</t>
  </si>
  <si>
    <t>Teilkreisdurchmesser</t>
  </si>
  <si>
    <t>d</t>
  </si>
  <si>
    <t>Grundkreisdurchmesser</t>
  </si>
  <si>
    <t>db</t>
  </si>
  <si>
    <t>Wälzkreisdurchmesser</t>
  </si>
  <si>
    <t>dw</t>
  </si>
  <si>
    <t>Kopfhöhenänderung</t>
  </si>
  <si>
    <t>k</t>
  </si>
  <si>
    <t>Kopfkreisdurchmesser</t>
  </si>
  <si>
    <t>da</t>
  </si>
  <si>
    <t>Fußkreisdurchmesser</t>
  </si>
  <si>
    <t>df</t>
  </si>
  <si>
    <t>Abmaß</t>
  </si>
  <si>
    <t>Asne</t>
  </si>
  <si>
    <t>Asni</t>
  </si>
  <si>
    <t>Asnm</t>
  </si>
  <si>
    <t>Abmaß-Faktor</t>
  </si>
  <si>
    <t>AW*</t>
  </si>
  <si>
    <t>Profilverschiebung (Erz.)</t>
  </si>
  <si>
    <t>xEm</t>
  </si>
  <si>
    <t>Meßzähnezahl</t>
  </si>
  <si>
    <t>Zahnweite</t>
  </si>
  <si>
    <t>Wk</t>
  </si>
  <si>
    <t>Toleranz</t>
  </si>
  <si>
    <t>+/-</t>
  </si>
  <si>
    <t>Ersatzzähnezahl</t>
  </si>
  <si>
    <t>znW</t>
  </si>
  <si>
    <t>alpha vt</t>
  </si>
  <si>
    <t>Hinweis</t>
  </si>
  <si>
    <t>Spalte F G H und I hat Format jjj</t>
  </si>
  <si>
    <t>Bezeichnung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</si>
</sst>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#,##0.0000"/>
    <numFmt numFmtId="174" formatCode="mmm\-yy"/>
    <numFmt numFmtId="175" formatCode="0.0000"/>
    <numFmt numFmtId="176" formatCode="dd/mm/yy"/>
    <numFmt numFmtId="177" formatCode=";;;"/>
  </numFmts>
  <fonts count="7">
    <font>
      <sz val="12"/>
      <name val="Lucida Sans Unicod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Lucida Sans Unicode"/>
      <family val="0"/>
    </font>
    <font>
      <sz val="12"/>
      <name val="UniversalMath1 BT"/>
      <family val="0"/>
    </font>
    <font>
      <sz val="12"/>
      <name val="Albertus Medium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</cellStyleXfs>
  <cellXfs count="58">
    <xf numFmtId="172" fontId="0" fillId="0" borderId="0" xfId="0" applyFont="1" applyAlignment="1">
      <alignment/>
    </xf>
    <xf numFmtId="172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172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Alignment="1">
      <alignment/>
    </xf>
    <xf numFmtId="172" fontId="0" fillId="0" borderId="1" xfId="0" applyFont="1" applyBorder="1" applyAlignment="1">
      <alignment/>
    </xf>
    <xf numFmtId="172" fontId="5" fillId="0" borderId="1" xfId="0" applyFont="1" applyBorder="1" applyAlignment="1">
      <alignment/>
    </xf>
    <xf numFmtId="172" fontId="5" fillId="0" borderId="1" xfId="0" applyFont="1" applyBorder="1" applyAlignment="1">
      <alignment/>
    </xf>
    <xf numFmtId="172" fontId="6" fillId="0" borderId="1" xfId="0" applyFont="1" applyBorder="1" applyAlignment="1">
      <alignment/>
    </xf>
    <xf numFmtId="172" fontId="0" fillId="0" borderId="1" xfId="0" applyFont="1" applyBorder="1" applyAlignment="1">
      <alignment/>
    </xf>
    <xf numFmtId="172" fontId="0" fillId="0" borderId="1" xfId="0" applyBorder="1" applyAlignment="1">
      <alignment/>
    </xf>
    <xf numFmtId="172" fontId="0" fillId="0" borderId="2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/>
    </xf>
    <xf numFmtId="0" fontId="0" fillId="0" borderId="2" xfId="0" applyNumberFormat="1" applyFont="1" applyBorder="1" applyAlignment="1">
      <alignment horizontal="left"/>
    </xf>
    <xf numFmtId="172" fontId="0" fillId="0" borderId="3" xfId="0" applyBorder="1" applyAlignment="1">
      <alignment/>
    </xf>
    <xf numFmtId="172" fontId="0" fillId="0" borderId="4" xfId="0" applyBorder="1" applyAlignment="1">
      <alignment/>
    </xf>
    <xf numFmtId="176" fontId="0" fillId="0" borderId="5" xfId="0" applyNumberFormat="1" applyFont="1" applyBorder="1" applyAlignment="1">
      <alignment horizontal="left"/>
    </xf>
    <xf numFmtId="172" fontId="0" fillId="0" borderId="6" xfId="0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7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172" fontId="0" fillId="0" borderId="6" xfId="0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7" xfId="0" applyNumberFormat="1" applyBorder="1" applyAlignment="1">
      <alignment/>
    </xf>
    <xf numFmtId="172" fontId="0" fillId="0" borderId="6" xfId="0" applyFont="1" applyBorder="1" applyAlignment="1">
      <alignment/>
    </xf>
    <xf numFmtId="172" fontId="0" fillId="0" borderId="8" xfId="0" applyFont="1" applyBorder="1" applyAlignment="1">
      <alignment/>
    </xf>
    <xf numFmtId="0" fontId="0" fillId="0" borderId="9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72" fontId="0" fillId="0" borderId="11" xfId="0" applyBorder="1" applyAlignment="1">
      <alignment/>
    </xf>
    <xf numFmtId="172" fontId="0" fillId="0" borderId="12" xfId="0" applyFont="1" applyBorder="1" applyAlignment="1">
      <alignment/>
    </xf>
    <xf numFmtId="173" fontId="0" fillId="0" borderId="13" xfId="0" applyNumberFormat="1" applyFont="1" applyBorder="1" applyAlignment="1">
      <alignment/>
    </xf>
    <xf numFmtId="172" fontId="0" fillId="0" borderId="14" xfId="0" applyFont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172" fontId="4" fillId="2" borderId="6" xfId="0" applyFont="1" applyFill="1" applyBorder="1" applyAlignment="1">
      <alignment/>
    </xf>
    <xf numFmtId="172" fontId="4" fillId="2" borderId="0" xfId="0" applyFont="1" applyFill="1" applyBorder="1" applyAlignment="1">
      <alignment/>
    </xf>
    <xf numFmtId="172" fontId="4" fillId="2" borderId="0" xfId="0" applyFont="1" applyFill="1" applyBorder="1" applyAlignment="1">
      <alignment/>
    </xf>
    <xf numFmtId="172" fontId="0" fillId="2" borderId="7" xfId="0" applyFont="1" applyFill="1" applyBorder="1" applyAlignment="1">
      <alignment/>
    </xf>
    <xf numFmtId="0" fontId="0" fillId="3" borderId="1" xfId="0" applyNumberFormat="1" applyFont="1" applyFill="1" applyBorder="1" applyAlignment="1">
      <alignment horizontal="left"/>
    </xf>
    <xf numFmtId="172" fontId="0" fillId="0" borderId="11" xfId="0" applyFont="1" applyBorder="1" applyAlignment="1">
      <alignment/>
    </xf>
    <xf numFmtId="172" fontId="0" fillId="0" borderId="13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showOutlineSymbols="0" zoomScale="87" zoomScaleNormal="87" workbookViewId="0" topLeftCell="A1">
      <selection activeCell="A4" sqref="A4"/>
    </sheetView>
  </sheetViews>
  <sheetFormatPr defaultColWidth="11.19921875" defaultRowHeight="16.5"/>
  <cols>
    <col min="1" max="1" width="20.69921875" style="0" customWidth="1"/>
    <col min="2" max="2" width="9.69921875" style="0" customWidth="1"/>
    <col min="3" max="3" width="9.69921875" style="3" customWidth="1"/>
    <col min="4" max="5" width="9.69921875" style="0" customWidth="1"/>
    <col min="6" max="9" width="9.69921875" style="5" customWidth="1"/>
    <col min="10" max="16384" width="9.69921875" style="0" customWidth="1"/>
  </cols>
  <sheetData>
    <row r="1" spans="1:6" ht="16.5">
      <c r="A1" s="21"/>
      <c r="B1" s="22"/>
      <c r="C1" s="22"/>
      <c r="D1" s="22"/>
      <c r="E1" s="23">
        <f ca="1">TODAY()</f>
        <v>40842</v>
      </c>
      <c r="F1" s="4"/>
    </row>
    <row r="2" spans="1:6" ht="16.5">
      <c r="A2" s="24" t="s">
        <v>0</v>
      </c>
      <c r="B2" s="25"/>
      <c r="C2" s="26"/>
      <c r="D2" s="25"/>
      <c r="E2" s="27" t="s">
        <v>1</v>
      </c>
      <c r="F2" s="4"/>
    </row>
    <row r="3" spans="1:6" ht="16.5">
      <c r="A3" s="51" t="s">
        <v>2</v>
      </c>
      <c r="B3" s="52" t="s">
        <v>3</v>
      </c>
      <c r="C3" s="53"/>
      <c r="D3" s="53"/>
      <c r="E3" s="54"/>
      <c r="F3" s="4"/>
    </row>
    <row r="4" spans="1:6" ht="16.5">
      <c r="A4" s="24"/>
      <c r="B4" s="25"/>
      <c r="C4" s="26"/>
      <c r="D4" s="25"/>
      <c r="E4" s="27"/>
      <c r="F4" s="4"/>
    </row>
    <row r="5" spans="1:6" ht="17.25" thickBot="1">
      <c r="A5" s="24"/>
      <c r="B5" s="25"/>
      <c r="C5" s="26"/>
      <c r="D5" s="25"/>
      <c r="E5" s="27"/>
      <c r="F5" s="4"/>
    </row>
    <row r="6" spans="1:9" ht="17.25" thickBot="1">
      <c r="A6" s="43" t="s">
        <v>61</v>
      </c>
      <c r="B6" s="46"/>
      <c r="C6" s="45" t="s">
        <v>4</v>
      </c>
      <c r="D6" s="44"/>
      <c r="E6" s="46" t="s">
        <v>5</v>
      </c>
      <c r="F6" s="4"/>
      <c r="H6" s="5" t="s">
        <v>6</v>
      </c>
      <c r="I6" s="5" t="s">
        <v>7</v>
      </c>
    </row>
    <row r="7" spans="1:6" ht="16.5">
      <c r="A7" s="24"/>
      <c r="B7" s="9"/>
      <c r="C7" s="26"/>
      <c r="D7" s="9"/>
      <c r="E7" s="27"/>
      <c r="F7" s="4"/>
    </row>
    <row r="8" spans="1:9" ht="16.5">
      <c r="A8" s="24" t="s">
        <v>8</v>
      </c>
      <c r="B8" s="9" t="s">
        <v>9</v>
      </c>
      <c r="C8" s="28"/>
      <c r="D8" s="49">
        <v>2</v>
      </c>
      <c r="E8" s="29"/>
      <c r="F8" s="4"/>
      <c r="G8" s="6" t="s">
        <v>10</v>
      </c>
      <c r="H8" s="7">
        <f>PI()/9</f>
        <v>0.3490658503988659</v>
      </c>
      <c r="I8" s="7" t="s">
        <v>11</v>
      </c>
    </row>
    <row r="9" spans="1:9" ht="16.5">
      <c r="A9" s="30" t="s">
        <v>12</v>
      </c>
      <c r="B9" s="9" t="s">
        <v>13</v>
      </c>
      <c r="C9" s="47">
        <v>16</v>
      </c>
      <c r="D9" s="16"/>
      <c r="E9" s="48">
        <v>16</v>
      </c>
      <c r="F9" s="4"/>
      <c r="G9" s="5" t="s">
        <v>14</v>
      </c>
      <c r="H9" s="7">
        <f>ATAN(TAN(H8)/COS(F11))</f>
        <v>0.3490658503988659</v>
      </c>
      <c r="I9" s="7" t="s">
        <v>15</v>
      </c>
    </row>
    <row r="10" spans="1:9" ht="16.5">
      <c r="A10" s="24" t="s">
        <v>16</v>
      </c>
      <c r="B10" s="9" t="s">
        <v>17</v>
      </c>
      <c r="C10" s="28"/>
      <c r="D10" s="49">
        <v>33</v>
      </c>
      <c r="E10" s="29"/>
      <c r="F10" s="4"/>
      <c r="G10" s="5" t="s">
        <v>18</v>
      </c>
      <c r="H10" s="7">
        <f>ACOS((C9+E9)*D8/COS(F11)/2/D10*COS(H9))</f>
        <v>0.4245672321273619</v>
      </c>
      <c r="I10" s="7" t="s">
        <v>19</v>
      </c>
    </row>
    <row r="11" spans="1:9" ht="16.5">
      <c r="A11" s="24" t="s">
        <v>20</v>
      </c>
      <c r="B11" s="10" t="s">
        <v>21</v>
      </c>
      <c r="C11" s="28"/>
      <c r="D11" s="49">
        <v>0</v>
      </c>
      <c r="E11" s="29"/>
      <c r="F11" s="4">
        <f>RADIANS(D11)</f>
        <v>0</v>
      </c>
      <c r="G11" s="5" t="s">
        <v>22</v>
      </c>
      <c r="H11" s="7">
        <f>TAN(H9)-H9</f>
        <v>0.014904383867336446</v>
      </c>
      <c r="I11" s="7"/>
    </row>
    <row r="12" spans="1:9" ht="16.5">
      <c r="A12" s="24" t="s">
        <v>23</v>
      </c>
      <c r="B12" s="9" t="s">
        <v>21</v>
      </c>
      <c r="C12" s="31"/>
      <c r="D12" s="16"/>
      <c r="E12" s="32"/>
      <c r="F12" s="4"/>
      <c r="G12" s="5" t="s">
        <v>24</v>
      </c>
      <c r="H12" s="7">
        <f>TAN(H10)-H10</f>
        <v>0.027494610003302666</v>
      </c>
      <c r="I12" s="7"/>
    </row>
    <row r="13" spans="1:8" ht="16.5">
      <c r="A13" s="24" t="s">
        <v>25</v>
      </c>
      <c r="B13" s="11"/>
      <c r="C13" s="28"/>
      <c r="D13" s="49">
        <v>0.25</v>
      </c>
      <c r="E13" s="29"/>
      <c r="F13" s="4"/>
      <c r="G13" s="8" t="s">
        <v>26</v>
      </c>
      <c r="H13" s="7">
        <f>SIN(F11)*COS(H8)</f>
        <v>0</v>
      </c>
    </row>
    <row r="14" spans="1:6" ht="16.5">
      <c r="A14" s="24" t="s">
        <v>27</v>
      </c>
      <c r="B14" s="12"/>
      <c r="C14" s="28"/>
      <c r="D14" s="49">
        <v>1.25</v>
      </c>
      <c r="E14" s="29"/>
      <c r="F14" s="4"/>
    </row>
    <row r="15" spans="1:6" ht="16.5">
      <c r="A15" s="24"/>
      <c r="B15" s="9"/>
      <c r="C15" s="28"/>
      <c r="D15" s="16"/>
      <c r="E15" s="29"/>
      <c r="F15" s="4"/>
    </row>
    <row r="16" spans="1:6" ht="16.5">
      <c r="A16" s="24" t="s">
        <v>28</v>
      </c>
      <c r="B16" s="9" t="s">
        <v>29</v>
      </c>
      <c r="C16" s="28"/>
      <c r="D16" s="55">
        <f>(C9+E9)*(H12-H11)/2/TAN(H8)</f>
        <v>0.5534617922303138</v>
      </c>
      <c r="E16" s="29"/>
      <c r="F16" s="4"/>
    </row>
    <row r="17" spans="1:6" ht="16.5">
      <c r="A17" s="30" t="s">
        <v>30</v>
      </c>
      <c r="B17" s="13" t="s">
        <v>29</v>
      </c>
      <c r="C17" s="50">
        <v>0</v>
      </c>
      <c r="D17" s="16"/>
      <c r="E17" s="34">
        <f>D16-C17</f>
        <v>0.5534617922303138</v>
      </c>
      <c r="F17" s="4"/>
    </row>
    <row r="18" spans="1:6" ht="16.5">
      <c r="A18" s="30"/>
      <c r="B18" s="9"/>
      <c r="C18" s="28"/>
      <c r="D18" s="16"/>
      <c r="E18" s="29"/>
      <c r="F18" s="4"/>
    </row>
    <row r="19" spans="1:6" ht="16.5">
      <c r="A19" s="24" t="s">
        <v>31</v>
      </c>
      <c r="B19" s="13" t="s">
        <v>32</v>
      </c>
      <c r="C19" s="35">
        <f>C9*D8/COS(F11)</f>
        <v>32</v>
      </c>
      <c r="D19" s="16"/>
      <c r="E19" s="34">
        <f>E9*D8/COS(F11)</f>
        <v>32</v>
      </c>
      <c r="F19" s="4"/>
    </row>
    <row r="20" spans="1:6" ht="16.5">
      <c r="A20" s="24" t="s">
        <v>33</v>
      </c>
      <c r="B20" s="13" t="s">
        <v>34</v>
      </c>
      <c r="C20" s="35">
        <f>C19*COS(H9)</f>
        <v>30.07016386514907</v>
      </c>
      <c r="D20" s="16"/>
      <c r="E20" s="34">
        <f>E19*COS(H9)</f>
        <v>30.07016386514907</v>
      </c>
      <c r="F20" s="4"/>
    </row>
    <row r="21" spans="1:6" ht="16.5">
      <c r="A21" s="24" t="s">
        <v>35</v>
      </c>
      <c r="B21" s="13" t="s">
        <v>36</v>
      </c>
      <c r="C21" s="35">
        <f>C20/COS(H10)</f>
        <v>32.99999999999999</v>
      </c>
      <c r="D21" s="16"/>
      <c r="E21" s="34">
        <f>E20/COS(H10)</f>
        <v>32.99999999999999</v>
      </c>
      <c r="F21" s="4"/>
    </row>
    <row r="22" spans="1:6" ht="16.5">
      <c r="A22" s="24" t="s">
        <v>37</v>
      </c>
      <c r="B22" s="9" t="s">
        <v>38</v>
      </c>
      <c r="C22" s="28"/>
      <c r="D22" s="17">
        <f>D10-D8*((C9+E9)/2/COS(F11)+D16)</f>
        <v>-0.1069235844606311</v>
      </c>
      <c r="E22" s="29"/>
      <c r="F22" s="4"/>
    </row>
    <row r="23" spans="1:6" ht="16.5">
      <c r="A23" s="24" t="s">
        <v>39</v>
      </c>
      <c r="B23" s="13" t="s">
        <v>40</v>
      </c>
      <c r="C23" s="35">
        <f>C19+(C17+1+D22)*2*D8</f>
        <v>35.572305662157476</v>
      </c>
      <c r="D23" s="16"/>
      <c r="E23" s="34">
        <f>E19+(E17+1+D22)*2*D8</f>
        <v>37.78615283107873</v>
      </c>
      <c r="F23" s="4"/>
    </row>
    <row r="24" spans="1:6" ht="16.5">
      <c r="A24" s="24" t="s">
        <v>41</v>
      </c>
      <c r="B24" s="13" t="s">
        <v>42</v>
      </c>
      <c r="C24" s="35">
        <f>C19+2*D8*(C17-D14)</f>
        <v>27</v>
      </c>
      <c r="D24" s="17"/>
      <c r="E24" s="34">
        <f>E19+2*D8*(E17-D14)</f>
        <v>29.213847168921255</v>
      </c>
      <c r="F24" s="7"/>
    </row>
    <row r="25" spans="1:6" ht="16.5">
      <c r="A25" s="24"/>
      <c r="B25" s="9"/>
      <c r="C25" s="35"/>
      <c r="D25" s="17"/>
      <c r="E25" s="34"/>
      <c r="F25" s="4"/>
    </row>
    <row r="26" spans="1:6" ht="16.5">
      <c r="A26" s="24" t="s">
        <v>43</v>
      </c>
      <c r="B26" s="13" t="s">
        <v>44</v>
      </c>
      <c r="C26" s="33">
        <v>-0.054</v>
      </c>
      <c r="D26" s="18"/>
      <c r="E26" s="36">
        <v>-0.054</v>
      </c>
      <c r="F26" s="4"/>
    </row>
    <row r="27" spans="1:6" ht="16.5">
      <c r="A27" s="24"/>
      <c r="B27" s="13" t="s">
        <v>45</v>
      </c>
      <c r="C27" s="33">
        <v>-0.134</v>
      </c>
      <c r="D27" s="18"/>
      <c r="E27" s="36">
        <v>-0.134</v>
      </c>
      <c r="F27" s="4"/>
    </row>
    <row r="28" spans="1:6" ht="16.5">
      <c r="A28" s="24"/>
      <c r="B28" s="9" t="s">
        <v>46</v>
      </c>
      <c r="C28" s="35">
        <f>0.5*(C26+C27)</f>
        <v>-0.094</v>
      </c>
      <c r="D28" s="17"/>
      <c r="E28" s="34">
        <f>0.5*(E26+E27)</f>
        <v>-0.094</v>
      </c>
      <c r="F28" s="4"/>
    </row>
    <row r="29" spans="1:6" ht="16.5">
      <c r="A29" s="24"/>
      <c r="B29" s="9"/>
      <c r="C29" s="28"/>
      <c r="D29" s="16"/>
      <c r="E29" s="29"/>
      <c r="F29" s="4"/>
    </row>
    <row r="30" spans="1:6" ht="16.5">
      <c r="A30" s="24" t="s">
        <v>47</v>
      </c>
      <c r="B30" s="9" t="s">
        <v>48</v>
      </c>
      <c r="C30" s="35">
        <f>COS(H8)</f>
        <v>0.9396926207859084</v>
      </c>
      <c r="D30" s="17"/>
      <c r="E30" s="34">
        <f>COS(H8)</f>
        <v>0.9396926207859084</v>
      </c>
      <c r="F30" s="4"/>
    </row>
    <row r="31" spans="1:6" ht="16.5">
      <c r="A31" s="24"/>
      <c r="B31" s="9"/>
      <c r="C31" s="28"/>
      <c r="D31" s="16"/>
      <c r="E31" s="29"/>
      <c r="F31" s="4"/>
    </row>
    <row r="32" spans="1:6" ht="16.5">
      <c r="A32" s="30" t="s">
        <v>49</v>
      </c>
      <c r="B32" s="13" t="s">
        <v>50</v>
      </c>
      <c r="C32" s="35">
        <f>C17+C28/2/TAN(H8)/D8</f>
        <v>-0.06456571935718362</v>
      </c>
      <c r="D32" s="17"/>
      <c r="E32" s="34">
        <f>E17+E28/2/TAN(H8)/D8</f>
        <v>0.48889607287313014</v>
      </c>
      <c r="F32" s="4"/>
    </row>
    <row r="33" spans="1:6" ht="16.5">
      <c r="A33" s="24"/>
      <c r="B33" s="13"/>
      <c r="C33" s="28"/>
      <c r="D33" s="16"/>
      <c r="E33" s="29"/>
      <c r="F33" s="4"/>
    </row>
    <row r="34" spans="1:6" ht="16.5">
      <c r="A34" s="24" t="s">
        <v>51</v>
      </c>
      <c r="B34" s="9" t="s">
        <v>38</v>
      </c>
      <c r="C34" s="35">
        <f>ROUND(C9/PI()*(TAN(C39)/COS(H13)/COS(H13)-2*C17/C9*TAN(H8)-H11),0)</f>
        <v>2</v>
      </c>
      <c r="D34" s="17"/>
      <c r="E34" s="34">
        <f>ROUND(E9/PI()*(TAN(E39)/COS(H13)/COS(H13)-2*E17/E9*TAN(H8)-H11),0)</f>
        <v>3</v>
      </c>
      <c r="F34" s="4"/>
    </row>
    <row r="35" spans="1:6" ht="16.5">
      <c r="A35" s="24" t="s">
        <v>52</v>
      </c>
      <c r="B35" s="13" t="s">
        <v>53</v>
      </c>
      <c r="C35" s="35">
        <f>D8*COS(H8)*((C34-0.5)*PI()+C9*H11)+2*C32*D8*SIN(H8)</f>
        <v>9.216240461126663</v>
      </c>
      <c r="D35" s="17"/>
      <c r="E35" s="34">
        <f>D8*COS(H8)*((E34-0.5)*PI()+E9*H11)+2*E32*D8*SIN(H8)</f>
        <v>15.877683655329337</v>
      </c>
      <c r="F35" s="4"/>
    </row>
    <row r="36" spans="1:6" ht="16.5">
      <c r="A36" s="24" t="s">
        <v>54</v>
      </c>
      <c r="B36" s="13" t="s">
        <v>55</v>
      </c>
      <c r="C36" s="35">
        <f>(C26-C27)*C30/2</f>
        <v>0.03758770483143634</v>
      </c>
      <c r="D36" s="17"/>
      <c r="E36" s="34">
        <f>(E26-E27)*E30/2</f>
        <v>0.03758770483143634</v>
      </c>
      <c r="F36" s="4"/>
    </row>
    <row r="37" spans="1:5" ht="16.5">
      <c r="A37" s="24"/>
      <c r="B37" s="14"/>
      <c r="C37" s="37"/>
      <c r="D37" s="19"/>
      <c r="E37" s="38"/>
    </row>
    <row r="38" spans="1:5" ht="16.5">
      <c r="A38" s="39" t="s">
        <v>56</v>
      </c>
      <c r="B38" s="9" t="s">
        <v>57</v>
      </c>
      <c r="C38" s="35">
        <f>C9*H11/(TAN(H8)-H8)</f>
        <v>16</v>
      </c>
      <c r="D38" s="17"/>
      <c r="E38" s="34">
        <f>E9*H11/(TAN(H8)-H8)</f>
        <v>16</v>
      </c>
    </row>
    <row r="39" spans="1:5" ht="17.25" thickBot="1">
      <c r="A39" s="40"/>
      <c r="B39" s="15" t="s">
        <v>58</v>
      </c>
      <c r="C39" s="41">
        <f>ACOS(COS(H9)/(1+2*C17/C9*COS(F11)))</f>
        <v>0.34906585039886573</v>
      </c>
      <c r="D39" s="20"/>
      <c r="E39" s="42">
        <f>ACOS(COS(H9)/(1+2*E17/E9*COS(F11)))</f>
        <v>0.49726877518976664</v>
      </c>
    </row>
    <row r="40" ht="16.5">
      <c r="C40"/>
    </row>
    <row r="41" ht="17.25" thickBot="1">
      <c r="C41"/>
    </row>
    <row r="42" spans="1:5" ht="17.25" thickBot="1">
      <c r="A42" s="56" t="s">
        <v>59</v>
      </c>
      <c r="B42" s="57" t="s">
        <v>60</v>
      </c>
      <c r="C42" s="57"/>
      <c r="D42" s="57"/>
      <c r="E42" s="46"/>
    </row>
    <row r="43" spans="3:5" ht="16.5">
      <c r="C43" s="2"/>
      <c r="D43" s="1"/>
      <c r="E43" s="1"/>
    </row>
    <row r="44" spans="3:5" ht="16.5">
      <c r="C44" s="2"/>
      <c r="D44" s="1"/>
      <c r="E44" s="1"/>
    </row>
    <row r="45" spans="3:5" ht="16.5">
      <c r="C45" s="2"/>
      <c r="D45" s="1"/>
      <c r="E45" s="1"/>
    </row>
    <row r="46" spans="3:5" ht="16.5">
      <c r="C46" s="2"/>
      <c r="D46" s="1"/>
      <c r="E46" s="1"/>
    </row>
  </sheetData>
  <printOptions/>
  <pageMargins left="0.9840277777777777" right="0.5" top="0.5" bottom="0.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Krissler</cp:lastModifiedBy>
  <cp:lastPrinted>2011-10-26T04:01:24Z</cp:lastPrinted>
  <dcterms:modified xsi:type="dcterms:W3CDTF">2011-10-26T04:06:59Z</dcterms:modified>
  <cp:category/>
  <cp:version/>
  <cp:contentType/>
  <cp:contentStatus/>
</cp:coreProperties>
</file>